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cca\OneDrive\Desktop\Pyrolysis process examples\"/>
    </mc:Choice>
  </mc:AlternateContent>
  <xr:revisionPtr revIDLastSave="0" documentId="13_ncr:1_{1514374A-5E14-4294-AD8E-6F9841EB3194}" xr6:coauthVersionLast="47" xr6:coauthVersionMax="47" xr10:uidLastSave="{00000000-0000-0000-0000-000000000000}"/>
  <bookViews>
    <workbookView xWindow="-108" yWindow="-108" windowWidth="23256" windowHeight="12456" xr2:uid="{0301B5BD-A609-4243-BCD4-9B8B32F61324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28" i="1" l="1"/>
  <c r="N33" i="1"/>
  <c r="M33" i="1"/>
  <c r="L33" i="1"/>
  <c r="K33" i="1"/>
  <c r="Q32" i="1"/>
  <c r="K36" i="1"/>
  <c r="H4" i="1"/>
  <c r="J42" i="1"/>
  <c r="L29" i="1"/>
  <c r="M29" i="1"/>
  <c r="N29" i="1"/>
  <c r="K29" i="1"/>
  <c r="H36" i="1"/>
  <c r="P24" i="1"/>
  <c r="N24" i="1"/>
  <c r="R19" i="1"/>
  <c r="R24" i="1" s="1"/>
  <c r="Q19" i="1"/>
  <c r="Q24" i="1" s="1"/>
  <c r="P19" i="1"/>
  <c r="O19" i="1"/>
  <c r="O24" i="1" s="1"/>
  <c r="N19" i="1"/>
  <c r="Q9" i="1"/>
  <c r="P9" i="1"/>
  <c r="P13" i="1" s="1"/>
  <c r="O9" i="1"/>
  <c r="O13" i="1" s="1"/>
  <c r="N9" i="1"/>
  <c r="N13" i="1" s="1"/>
  <c r="Q5" i="1"/>
  <c r="P5" i="1"/>
  <c r="O5" i="1"/>
  <c r="N5" i="1"/>
  <c r="L42" i="1" l="1"/>
  <c r="Q1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Giovanni Vaccaro</author>
  </authors>
  <commentList>
    <comment ref="C3" authorId="0" shapeId="0" xr:uid="{662F2815-0132-4A2D-8EBE-13BB3D4CA64A}">
      <text>
        <r>
          <rPr>
            <b/>
            <sz val="9"/>
            <color indexed="81"/>
            <rFont val="Tahoma"/>
            <family val="2"/>
          </rPr>
          <t>Giovanni Vaccaro:</t>
        </r>
        <r>
          <rPr>
            <sz val="9"/>
            <color indexed="81"/>
            <rFont val="Tahoma"/>
            <family val="2"/>
          </rPr>
          <t xml:space="preserve">
Experiment realised with the solid bed of tubular reactor made of residual refractory material instead of SiC</t>
        </r>
      </text>
    </comment>
    <comment ref="D3" authorId="0" shapeId="0" xr:uid="{8E28BF6D-F81C-4212-975A-197D1252641D}">
      <text>
        <r>
          <rPr>
            <b/>
            <sz val="9"/>
            <color indexed="81"/>
            <rFont val="Tahoma"/>
            <family val="2"/>
          </rPr>
          <t>Giovanni Vaccaro:</t>
        </r>
        <r>
          <rPr>
            <sz val="9"/>
            <color indexed="81"/>
            <rFont val="Tahoma"/>
            <family val="2"/>
          </rPr>
          <t xml:space="preserve">
Experiment carried with the same conditions of E2 but without dwell time </t>
        </r>
      </text>
    </comment>
    <comment ref="E3" authorId="0" shapeId="0" xr:uid="{46A50029-8C46-4C1E-9DC8-03E983467879}">
      <text>
        <r>
          <rPr>
            <b/>
            <sz val="9"/>
            <color indexed="81"/>
            <rFont val="Tahoma"/>
            <family val="2"/>
          </rPr>
          <t>Giovanni Vaccaro:</t>
        </r>
        <r>
          <rPr>
            <sz val="9"/>
            <color indexed="81"/>
            <rFont val="Tahoma"/>
            <family val="2"/>
          </rPr>
          <t xml:space="preserve">
Experiment carried using N2 only to purge the reactors befor starting the process. Once the air is removed, no additional inert gas is injected.</t>
        </r>
      </text>
    </comment>
    <comment ref="F3" authorId="0" shapeId="0" xr:uid="{8269C111-21DE-4215-83F1-EF7216D6DFAD}">
      <text>
        <r>
          <rPr>
            <b/>
            <sz val="9"/>
            <color indexed="81"/>
            <rFont val="Tahoma"/>
            <family val="2"/>
          </rPr>
          <t>Giovanni Vaccaro:</t>
        </r>
        <r>
          <rPr>
            <sz val="9"/>
            <color indexed="81"/>
            <rFont val="Tahoma"/>
            <family val="2"/>
          </rPr>
          <t xml:space="preserve">
Experiment carried without the use of N2 as inert reaction medium. Reactor filled with the natural air present</t>
        </r>
      </text>
    </comment>
    <comment ref="J3" authorId="0" shapeId="0" xr:uid="{880E7FEC-97C9-4B7A-BB8B-EACF955AAE9D}">
      <text>
        <r>
          <rPr>
            <b/>
            <sz val="9"/>
            <color indexed="81"/>
            <rFont val="Tahoma"/>
            <family val="2"/>
          </rPr>
          <t>Giovanni Vaccaro:</t>
        </r>
        <r>
          <rPr>
            <sz val="9"/>
            <color indexed="81"/>
            <rFont val="Tahoma"/>
            <family val="2"/>
          </rPr>
          <t xml:space="preserve">
Taken from: https://en.wikipedia.org/wiki/Heat_of_combustion#cite_note-NIST-6</t>
        </r>
      </text>
    </comment>
    <comment ref="J9" authorId="0" shapeId="0" xr:uid="{C71A4F3C-5A37-47F1-AD13-A5359FEDDF3C}">
      <text>
        <r>
          <rPr>
            <b/>
            <sz val="9"/>
            <color indexed="81"/>
            <rFont val="Tahoma"/>
            <family val="2"/>
          </rPr>
          <t>Giovanni Vaccaro:</t>
        </r>
        <r>
          <rPr>
            <sz val="9"/>
            <color indexed="81"/>
            <rFont val="Tahoma"/>
            <family val="2"/>
          </rPr>
          <t xml:space="preserve">
Taken from:
https://webbook.nist.gov/chemistry/</t>
        </r>
      </text>
    </comment>
    <comment ref="H15" authorId="0" shapeId="0" xr:uid="{FABB7763-0015-4380-B91E-5C4F44030669}">
      <text>
        <r>
          <rPr>
            <b/>
            <sz val="9"/>
            <color indexed="81"/>
            <rFont val="Tahoma"/>
            <family val="2"/>
          </rPr>
          <t>Giovanni Vaccaro:</t>
        </r>
        <r>
          <rPr>
            <sz val="9"/>
            <color indexed="81"/>
            <rFont val="Tahoma"/>
            <family val="2"/>
          </rPr>
          <t xml:space="preserve">
Value extracted from the experiment carried in file:///C:/Users/vacca/OneDrive/Desktop/Energy_and_economic_balance_estimation_of_pyrolysis_plant_for.pdf</t>
        </r>
      </text>
    </comment>
    <comment ref="N16" authorId="0" shapeId="0" xr:uid="{3D256573-42DA-43CD-898D-332E6BE6B076}">
      <text>
        <r>
          <rPr>
            <b/>
            <sz val="9"/>
            <color indexed="81"/>
            <rFont val="Tahoma"/>
            <family val="2"/>
          </rPr>
          <t>Giovanni Vaccaro:</t>
        </r>
        <r>
          <rPr>
            <sz val="9"/>
            <color indexed="81"/>
            <rFont val="Tahoma"/>
            <family val="2"/>
          </rPr>
          <t xml:space="preserve">
Empirical formula extracted from the slides of the course "Utilizzo sostenibile…"</t>
        </r>
      </text>
    </comment>
    <comment ref="P27" authorId="0" shapeId="0" xr:uid="{52C0FD83-12E2-48DA-84CE-F0358EB0FDCC}">
      <text>
        <r>
          <rPr>
            <b/>
            <sz val="9"/>
            <color indexed="81"/>
            <rFont val="Tahoma"/>
            <family val="2"/>
          </rPr>
          <t>Giovanni Vaccaro:</t>
        </r>
        <r>
          <rPr>
            <sz val="9"/>
            <color indexed="81"/>
            <rFont val="Tahoma"/>
            <family val="2"/>
          </rPr>
          <t xml:space="preserve">
Order of magnitude supposed on the basis of this paper: 
https://hal.archives-ouvertes.fr/hal-02509638/document</t>
        </r>
      </text>
    </comment>
    <comment ref="B31" authorId="0" shapeId="0" xr:uid="{3C68F68E-8E49-47B4-B90E-B16955E61024}">
      <text>
        <r>
          <rPr>
            <b/>
            <sz val="9"/>
            <color indexed="81"/>
            <rFont val="Tahoma"/>
            <family val="2"/>
          </rPr>
          <t>Giovanni Vaccaro:</t>
        </r>
        <r>
          <rPr>
            <sz val="9"/>
            <color indexed="81"/>
            <rFont val="Tahoma"/>
            <family val="2"/>
          </rPr>
          <t xml:space="preserve">
Assumed to be oxygen</t>
        </r>
      </text>
    </comment>
    <comment ref="K31" authorId="0" shapeId="0" xr:uid="{F98EDDB3-FF41-4837-891B-5A1E9C8FB1ED}">
      <text>
        <r>
          <rPr>
            <b/>
            <sz val="9"/>
            <color indexed="81"/>
            <rFont val="Tahoma"/>
            <charset val="1"/>
          </rPr>
          <t>Giovanni Vaccaro:</t>
        </r>
        <r>
          <rPr>
            <sz val="9"/>
            <color indexed="81"/>
            <rFont val="Tahoma"/>
            <charset val="1"/>
          </rPr>
          <t xml:space="preserve">
Taking into account 100 g of waste</t>
        </r>
      </text>
    </comment>
    <comment ref="H35" authorId="0" shapeId="0" xr:uid="{887C7FB5-120E-4573-B1F7-DE992683F88E}">
      <text>
        <r>
          <rPr>
            <b/>
            <sz val="9"/>
            <color indexed="81"/>
            <rFont val="Tahoma"/>
            <family val="2"/>
          </rPr>
          <t>Giovanni Vaccaro:</t>
        </r>
        <r>
          <rPr>
            <sz val="9"/>
            <color indexed="81"/>
            <rFont val="Tahoma"/>
            <family val="2"/>
          </rPr>
          <t xml:space="preserve">
Evalauted thanks to the relations extracted from https://www.ncbi.nlm.nih.gov/pmc/articles/PMC5459023/#:~:text=It%20was%20reported%20%5B42%5D%20that,K)%20at%201230%20%C2%B0C.</t>
        </r>
      </text>
    </comment>
  </commentList>
</comments>
</file>

<file path=xl/sharedStrings.xml><?xml version="1.0" encoding="utf-8"?>
<sst xmlns="http://schemas.openxmlformats.org/spreadsheetml/2006/main" count="113" uniqueCount="56">
  <si>
    <t>Pyrolysis yields [wt%]</t>
  </si>
  <si>
    <t>Solids</t>
  </si>
  <si>
    <t>Gases</t>
  </si>
  <si>
    <t>Gas composition [wt%]</t>
  </si>
  <si>
    <t>H2</t>
  </si>
  <si>
    <t>CO</t>
  </si>
  <si>
    <t>CO2</t>
  </si>
  <si>
    <t>CH4</t>
  </si>
  <si>
    <t>C2</t>
  </si>
  <si>
    <t>Gas composition [vol%]</t>
  </si>
  <si>
    <t>E2</t>
  </si>
  <si>
    <t>E3</t>
  </si>
  <si>
    <t>E4</t>
  </si>
  <si>
    <t>E5</t>
  </si>
  <si>
    <t>/</t>
  </si>
  <si>
    <t>Heating Rate [°C/min]</t>
  </si>
  <si>
    <t>Pyrolysis time [min]</t>
  </si>
  <si>
    <t>N2 Flow-rate [L/min]</t>
  </si>
  <si>
    <t>C2 (ethane)</t>
  </si>
  <si>
    <t>Proximate Analysis [wt%]</t>
  </si>
  <si>
    <t xml:space="preserve">Moisture </t>
  </si>
  <si>
    <t xml:space="preserve">Volatiles </t>
  </si>
  <si>
    <t>Fixed Carbon</t>
  </si>
  <si>
    <t>Ash</t>
  </si>
  <si>
    <t>Ultimate Analysis [wt%]</t>
  </si>
  <si>
    <t>C</t>
  </si>
  <si>
    <t>H</t>
  </si>
  <si>
    <t>N</t>
  </si>
  <si>
    <t>S</t>
  </si>
  <si>
    <t>Others</t>
  </si>
  <si>
    <t>&lt;0,1</t>
  </si>
  <si>
    <t>CFRP @ in.</t>
  </si>
  <si>
    <t>Lower heating values [MJ/kmol]</t>
  </si>
  <si>
    <t>Molecular Weight [kg/kmol]</t>
  </si>
  <si>
    <t>Average Molecular Weight [kg/kmol]</t>
  </si>
  <si>
    <t>Evaluation of CFRP's HHV [MJ/kg]</t>
  </si>
  <si>
    <t>on the ultimate analsys basis</t>
  </si>
  <si>
    <t>Evaluation of CFRP's LHV [MJ/kg]</t>
  </si>
  <si>
    <t>Pyrolysis Reactor Room T [°C]</t>
  </si>
  <si>
    <t>Pyrolysis Temperature [°C]</t>
  </si>
  <si>
    <t>Evaluation of Cp in case of an anisotropic carbon fiber/epoxy resin CFRP</t>
  </si>
  <si>
    <t>Specific Heat [J/(kg*K)]</t>
  </si>
  <si>
    <t>Mass of CFRP sample [g]</t>
  </si>
  <si>
    <t>Gas Fraction from CFRP [g]</t>
  </si>
  <si>
    <t>Syngas Lower Heating Values LHV [MJ/kg]</t>
  </si>
  <si>
    <t>Syngas Lower Heating Values LHV [MJ/Nm3]</t>
  </si>
  <si>
    <t>Reactor Dimensions</t>
  </si>
  <si>
    <t>Diameter [m]</t>
  </si>
  <si>
    <t>Length [m]</t>
  </si>
  <si>
    <t>Lat. Surface [m2]</t>
  </si>
  <si>
    <t>Overall Heat Transfer Coeff. [W/m2K]</t>
  </si>
  <si>
    <t>Heat Losses [MJ/kg]</t>
  </si>
  <si>
    <t>Enthalpy of Pyrolysis [MJ/kg]</t>
  </si>
  <si>
    <t>En of Pyro. + Heat Loss + En. To Heat CFRP [MJ/kg]</t>
  </si>
  <si>
    <t>Energy required to heat up the CFRP [MJ/kg]</t>
  </si>
  <si>
    <t>Embodied Energy in Gases [MJ/kg]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</si>
</sst>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000"/>
  </numFmts>
  <fonts count="1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9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2F57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8BF47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C6C0C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0">
    <xf numFmtId="0" fontId="0" fillId="0" borderId="0" xfId="0"/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6" borderId="8" xfId="0" applyFont="1" applyFill="1" applyBorder="1" applyAlignment="1">
      <alignment horizontal="center"/>
    </xf>
    <xf numFmtId="0" fontId="2" fillId="7" borderId="2" xfId="0" applyFont="1" applyFill="1" applyBorder="1" applyAlignment="1">
      <alignment horizontal="center"/>
    </xf>
    <xf numFmtId="0" fontId="2" fillId="8" borderId="2" xfId="0" applyFont="1" applyFill="1" applyBorder="1" applyAlignment="1">
      <alignment horizontal="center"/>
    </xf>
    <xf numFmtId="0" fontId="2" fillId="9" borderId="2" xfId="0" applyFont="1" applyFill="1" applyBorder="1" applyAlignment="1">
      <alignment horizontal="center"/>
    </xf>
    <xf numFmtId="0" fontId="2" fillId="10" borderId="2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3" xfId="0" applyBorder="1" applyAlignment="1">
      <alignment horizontal="center"/>
    </xf>
    <xf numFmtId="0" fontId="2" fillId="11" borderId="23" xfId="0" applyFont="1" applyFill="1" applyBorder="1" applyAlignment="1">
      <alignment horizontal="center"/>
    </xf>
    <xf numFmtId="0" fontId="2" fillId="11" borderId="25" xfId="0" applyFont="1" applyFill="1" applyBorder="1" applyAlignment="1">
      <alignment horizontal="center"/>
    </xf>
    <xf numFmtId="0" fontId="0" fillId="0" borderId="23" xfId="0" applyBorder="1"/>
    <xf numFmtId="0" fontId="0" fillId="4" borderId="20" xfId="0" applyFill="1" applyBorder="1" applyAlignment="1">
      <alignment horizontal="center"/>
    </xf>
    <xf numFmtId="0" fontId="0" fillId="4" borderId="23" xfId="0" applyFill="1" applyBorder="1" applyAlignment="1">
      <alignment horizontal="center"/>
    </xf>
    <xf numFmtId="0" fontId="0" fillId="4" borderId="25" xfId="0" applyFill="1" applyBorder="1" applyAlignment="1">
      <alignment horizontal="center"/>
    </xf>
    <xf numFmtId="0" fontId="2" fillId="12" borderId="20" xfId="0" applyFont="1" applyFill="1" applyBorder="1" applyAlignment="1">
      <alignment horizontal="center"/>
    </xf>
    <xf numFmtId="0" fontId="2" fillId="12" borderId="23" xfId="0" applyFont="1" applyFill="1" applyBorder="1" applyAlignment="1">
      <alignment horizontal="center"/>
    </xf>
    <xf numFmtId="0" fontId="2" fillId="12" borderId="25" xfId="0" applyFont="1" applyFill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1" fillId="0" borderId="0" xfId="0" applyFont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2" fillId="3" borderId="22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4" borderId="14" xfId="0" applyFon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24" xfId="0" applyNumberFormat="1" applyBorder="1" applyAlignment="1">
      <alignment horizontal="center"/>
    </xf>
    <xf numFmtId="0" fontId="2" fillId="5" borderId="23" xfId="0" applyFont="1" applyFill="1" applyBorder="1" applyAlignment="1">
      <alignment horizontal="center"/>
    </xf>
    <xf numFmtId="0" fontId="0" fillId="5" borderId="20" xfId="0" applyFill="1" applyBorder="1" applyAlignment="1">
      <alignment horizontal="center"/>
    </xf>
    <xf numFmtId="164" fontId="0" fillId="0" borderId="22" xfId="0" applyNumberFormat="1" applyBorder="1" applyAlignment="1">
      <alignment horizontal="center"/>
    </xf>
    <xf numFmtId="0" fontId="0" fillId="5" borderId="23" xfId="0" applyFill="1" applyBorder="1" applyAlignment="1">
      <alignment horizontal="center"/>
    </xf>
    <xf numFmtId="0" fontId="0" fillId="5" borderId="25" xfId="0" applyFill="1" applyBorder="1" applyAlignment="1">
      <alignment horizontal="center"/>
    </xf>
    <xf numFmtId="0" fontId="0" fillId="9" borderId="23" xfId="0" applyFill="1" applyBorder="1" applyAlignment="1">
      <alignment horizontal="center"/>
    </xf>
    <xf numFmtId="0" fontId="0" fillId="13" borderId="23" xfId="0" applyFill="1" applyBorder="1" applyAlignment="1">
      <alignment horizontal="center"/>
    </xf>
    <xf numFmtId="0" fontId="0" fillId="13" borderId="25" xfId="0" applyFill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9" borderId="17" xfId="0" applyFont="1" applyFill="1" applyBorder="1" applyAlignment="1">
      <alignment horizontal="center"/>
    </xf>
    <xf numFmtId="0" fontId="2" fillId="13" borderId="17" xfId="0" applyFont="1" applyFill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2" fontId="5" fillId="0" borderId="25" xfId="0" applyNumberFormat="1" applyFont="1" applyBorder="1" applyAlignment="1">
      <alignment horizontal="center"/>
    </xf>
    <xf numFmtId="2" fontId="5" fillId="0" borderId="26" xfId="0" applyNumberFormat="1" applyFont="1" applyBorder="1" applyAlignment="1">
      <alignment horizontal="center"/>
    </xf>
    <xf numFmtId="2" fontId="5" fillId="0" borderId="27" xfId="0" applyNumberFormat="1" applyFont="1" applyBorder="1" applyAlignment="1">
      <alignment horizontal="center"/>
    </xf>
    <xf numFmtId="2" fontId="9" fillId="0" borderId="25" xfId="0" applyNumberFormat="1" applyFont="1" applyBorder="1" applyAlignment="1">
      <alignment horizontal="center"/>
    </xf>
    <xf numFmtId="2" fontId="9" fillId="0" borderId="26" xfId="0" applyNumberFormat="1" applyFont="1" applyBorder="1" applyAlignment="1">
      <alignment horizontal="center"/>
    </xf>
    <xf numFmtId="2" fontId="8" fillId="15" borderId="26" xfId="0" applyNumberFormat="1" applyFont="1" applyFill="1" applyBorder="1" applyAlignment="1">
      <alignment horizontal="center"/>
    </xf>
    <xf numFmtId="2" fontId="8" fillId="15" borderId="27" xfId="0" applyNumberFormat="1" applyFont="1" applyFill="1" applyBorder="1" applyAlignment="1">
      <alignment horizontal="center"/>
    </xf>
    <xf numFmtId="0" fontId="2" fillId="15" borderId="2" xfId="0" applyFont="1" applyFill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4" xfId="0" applyBorder="1"/>
    <xf numFmtId="0" fontId="2" fillId="11" borderId="2" xfId="0" applyFont="1" applyFill="1" applyBorder="1" applyAlignment="1">
      <alignment horizontal="center"/>
    </xf>
    <xf numFmtId="2" fontId="5" fillId="0" borderId="3" xfId="0" applyNumberFormat="1" applyFont="1" applyBorder="1" applyAlignment="1">
      <alignment horizontal="center"/>
    </xf>
    <xf numFmtId="0" fontId="2" fillId="16" borderId="20" xfId="0" applyFont="1" applyFill="1" applyBorder="1" applyAlignment="1">
      <alignment horizontal="center"/>
    </xf>
    <xf numFmtId="0" fontId="2" fillId="16" borderId="21" xfId="0" applyFont="1" applyFill="1" applyBorder="1" applyAlignment="1">
      <alignment horizontal="center"/>
    </xf>
    <xf numFmtId="0" fontId="2" fillId="16" borderId="22" xfId="0" applyFont="1" applyFill="1" applyBorder="1" applyAlignment="1">
      <alignment horizontal="center"/>
    </xf>
    <xf numFmtId="165" fontId="0" fillId="0" borderId="25" xfId="0" applyNumberFormat="1" applyBorder="1" applyAlignment="1">
      <alignment horizontal="center"/>
    </xf>
    <xf numFmtId="0" fontId="2" fillId="17" borderId="20" xfId="0" applyFont="1" applyFill="1" applyBorder="1" applyAlignment="1">
      <alignment horizontal="center"/>
    </xf>
    <xf numFmtId="0" fontId="2" fillId="17" borderId="21" xfId="0" applyFont="1" applyFill="1" applyBorder="1" applyAlignment="1">
      <alignment horizontal="center"/>
    </xf>
    <xf numFmtId="0" fontId="2" fillId="17" borderId="22" xfId="0" applyFont="1" applyFill="1" applyBorder="1" applyAlignment="1">
      <alignment horizontal="center"/>
    </xf>
    <xf numFmtId="165" fontId="0" fillId="0" borderId="26" xfId="0" applyNumberFormat="1" applyBorder="1" applyAlignment="1">
      <alignment horizontal="center"/>
    </xf>
    <xf numFmtId="165" fontId="0" fillId="0" borderId="27" xfId="0" applyNumberFormat="1" applyBorder="1" applyAlignment="1">
      <alignment horizontal="center"/>
    </xf>
    <xf numFmtId="0" fontId="2" fillId="0" borderId="23" xfId="0" applyFont="1" applyBorder="1" applyAlignment="1">
      <alignment horizontal="left"/>
    </xf>
    <xf numFmtId="0" fontId="2" fillId="0" borderId="2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165" fontId="5" fillId="0" borderId="19" xfId="0" applyNumberFormat="1" applyFont="1" applyBorder="1" applyAlignment="1">
      <alignment horizontal="center"/>
    </xf>
    <xf numFmtId="166" fontId="0" fillId="0" borderId="0" xfId="0" applyNumberFormat="1"/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165" fontId="0" fillId="0" borderId="25" xfId="0" applyNumberFormat="1" applyBorder="1" applyAlignment="1">
      <alignment horizontal="center"/>
    </xf>
    <xf numFmtId="165" fontId="0" fillId="0" borderId="26" xfId="0" applyNumberFormat="1" applyBorder="1" applyAlignment="1">
      <alignment horizontal="center"/>
    </xf>
    <xf numFmtId="165" fontId="0" fillId="0" borderId="27" xfId="0" applyNumberFormat="1" applyBorder="1" applyAlignment="1">
      <alignment horizontal="center"/>
    </xf>
    <xf numFmtId="0" fontId="2" fillId="18" borderId="20" xfId="0" applyFont="1" applyFill="1" applyBorder="1" applyAlignment="1">
      <alignment horizontal="center"/>
    </xf>
    <xf numFmtId="0" fontId="2" fillId="18" borderId="22" xfId="0" applyFont="1" applyFill="1" applyBorder="1" applyAlignment="1">
      <alignment horizontal="center"/>
    </xf>
    <xf numFmtId="0" fontId="2" fillId="10" borderId="20" xfId="0" applyFont="1" applyFill="1" applyBorder="1" applyAlignment="1">
      <alignment horizontal="center"/>
    </xf>
    <xf numFmtId="0" fontId="2" fillId="10" borderId="21" xfId="0" applyFont="1" applyFill="1" applyBorder="1" applyAlignment="1">
      <alignment horizontal="center"/>
    </xf>
    <xf numFmtId="0" fontId="2" fillId="10" borderId="22" xfId="0" applyFont="1" applyFill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165" fontId="8" fillId="15" borderId="25" xfId="0" applyNumberFormat="1" applyFont="1" applyFill="1" applyBorder="1" applyAlignment="1">
      <alignment horizontal="center"/>
    </xf>
    <xf numFmtId="165" fontId="8" fillId="15" borderId="26" xfId="0" applyNumberFormat="1" applyFont="1" applyFill="1" applyBorder="1" applyAlignment="1">
      <alignment horizontal="center"/>
    </xf>
    <xf numFmtId="165" fontId="8" fillId="15" borderId="27" xfId="0" applyNumberFormat="1" applyFont="1" applyFill="1" applyBorder="1" applyAlignment="1">
      <alignment horizontal="center"/>
    </xf>
    <xf numFmtId="0" fontId="8" fillId="15" borderId="20" xfId="0" applyFont="1" applyFill="1" applyBorder="1" applyAlignment="1">
      <alignment horizontal="center"/>
    </xf>
    <xf numFmtId="0" fontId="8" fillId="15" borderId="21" xfId="0" applyFont="1" applyFill="1" applyBorder="1" applyAlignment="1">
      <alignment horizontal="center"/>
    </xf>
    <xf numFmtId="0" fontId="8" fillId="15" borderId="22" xfId="0" applyFont="1" applyFill="1" applyBorder="1" applyAlignment="1">
      <alignment horizontal="center"/>
    </xf>
    <xf numFmtId="0" fontId="2" fillId="12" borderId="20" xfId="0" applyFont="1" applyFill="1" applyBorder="1" applyAlignment="1">
      <alignment horizontal="center"/>
    </xf>
    <xf numFmtId="0" fontId="2" fillId="12" borderId="22" xfId="0" applyFont="1" applyFill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9" xfId="0" applyBorder="1" applyAlignment="1">
      <alignment horizontal="center"/>
    </xf>
    <xf numFmtId="0" fontId="2" fillId="16" borderId="17" xfId="0" applyFont="1" applyFill="1" applyBorder="1" applyAlignment="1">
      <alignment horizontal="center"/>
    </xf>
    <xf numFmtId="0" fontId="2" fillId="16" borderId="18" xfId="0" applyFont="1" applyFill="1" applyBorder="1" applyAlignment="1">
      <alignment horizontal="center"/>
    </xf>
    <xf numFmtId="0" fontId="2" fillId="16" borderId="19" xfId="0" applyFont="1" applyFill="1" applyBorder="1" applyAlignment="1">
      <alignment horizontal="center"/>
    </xf>
    <xf numFmtId="0" fontId="2" fillId="17" borderId="20" xfId="0" applyFont="1" applyFill="1" applyBorder="1" applyAlignment="1">
      <alignment horizontal="center"/>
    </xf>
    <xf numFmtId="0" fontId="2" fillId="17" borderId="21" xfId="0" applyFont="1" applyFill="1" applyBorder="1" applyAlignment="1">
      <alignment horizontal="center"/>
    </xf>
    <xf numFmtId="0" fontId="2" fillId="17" borderId="22" xfId="0" applyFont="1" applyFill="1" applyBorder="1" applyAlignment="1">
      <alignment horizontal="center"/>
    </xf>
    <xf numFmtId="0" fontId="2" fillId="3" borderId="20" xfId="0" applyFont="1" applyFill="1" applyBorder="1" applyAlignment="1">
      <alignment horizontal="center"/>
    </xf>
    <xf numFmtId="0" fontId="2" fillId="3" borderId="21" xfId="0" applyFont="1" applyFill="1" applyBorder="1" applyAlignment="1">
      <alignment horizontal="center"/>
    </xf>
    <xf numFmtId="0" fontId="2" fillId="3" borderId="22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2" fillId="3" borderId="24" xfId="0" applyFont="1" applyFill="1" applyBorder="1" applyAlignment="1">
      <alignment horizontal="center"/>
    </xf>
    <xf numFmtId="165" fontId="2" fillId="0" borderId="25" xfId="0" applyNumberFormat="1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6" borderId="20" xfId="0" applyFont="1" applyFill="1" applyBorder="1" applyAlignment="1">
      <alignment horizontal="center"/>
    </xf>
    <xf numFmtId="0" fontId="2" fillId="6" borderId="21" xfId="0" applyFont="1" applyFill="1" applyBorder="1" applyAlignment="1">
      <alignment horizontal="center"/>
    </xf>
    <xf numFmtId="0" fontId="2" fillId="6" borderId="22" xfId="0" applyFont="1" applyFill="1" applyBorder="1" applyAlignment="1">
      <alignment horizontal="center"/>
    </xf>
    <xf numFmtId="165" fontId="2" fillId="0" borderId="26" xfId="0" applyNumberFormat="1" applyFont="1" applyBorder="1" applyAlignment="1">
      <alignment horizontal="center"/>
    </xf>
    <xf numFmtId="165" fontId="2" fillId="0" borderId="27" xfId="0" applyNumberFormat="1" applyFont="1" applyBorder="1" applyAlignment="1">
      <alignment horizontal="center"/>
    </xf>
    <xf numFmtId="0" fontId="2" fillId="3" borderId="17" xfId="0" applyFont="1" applyFill="1" applyBorder="1" applyAlignment="1">
      <alignment horizontal="center"/>
    </xf>
    <xf numFmtId="0" fontId="2" fillId="3" borderId="18" xfId="0" applyFont="1" applyFill="1" applyBorder="1" applyAlignment="1">
      <alignment horizontal="center"/>
    </xf>
    <xf numFmtId="0" fontId="2" fillId="3" borderId="19" xfId="0" applyFont="1" applyFill="1" applyBorder="1" applyAlignment="1">
      <alignment horizontal="center"/>
    </xf>
    <xf numFmtId="0" fontId="7" fillId="6" borderId="17" xfId="0" applyFont="1" applyFill="1" applyBorder="1" applyAlignment="1">
      <alignment horizontal="center"/>
    </xf>
    <xf numFmtId="0" fontId="7" fillId="6" borderId="18" xfId="0" applyFont="1" applyFill="1" applyBorder="1" applyAlignment="1">
      <alignment horizontal="center"/>
    </xf>
    <xf numFmtId="0" fontId="7" fillId="6" borderId="19" xfId="0" applyFont="1" applyFill="1" applyBorder="1" applyAlignment="1">
      <alignment horizontal="center"/>
    </xf>
    <xf numFmtId="0" fontId="7" fillId="14" borderId="20" xfId="0" applyFont="1" applyFill="1" applyBorder="1" applyAlignment="1">
      <alignment horizontal="center"/>
    </xf>
    <xf numFmtId="0" fontId="7" fillId="14" borderId="21" xfId="0" applyFont="1" applyFill="1" applyBorder="1" applyAlignment="1">
      <alignment horizontal="center"/>
    </xf>
    <xf numFmtId="0" fontId="7" fillId="14" borderId="22" xfId="0" applyFont="1" applyFill="1" applyBorder="1" applyAlignment="1">
      <alignment horizontal="center"/>
    </xf>
    <xf numFmtId="0" fontId="2" fillId="12" borderId="25" xfId="0" applyFont="1" applyFill="1" applyBorder="1" applyAlignment="1">
      <alignment horizontal="center"/>
    </xf>
    <xf numFmtId="0" fontId="2" fillId="12" borderId="26" xfId="0" applyFont="1" applyFill="1" applyBorder="1" applyAlignment="1">
      <alignment horizontal="center"/>
    </xf>
    <xf numFmtId="0" fontId="2" fillId="12" borderId="27" xfId="0" applyFont="1" applyFill="1" applyBorder="1" applyAlignment="1">
      <alignment horizontal="center"/>
    </xf>
    <xf numFmtId="0" fontId="2" fillId="12" borderId="21" xfId="0" applyFont="1" applyFill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4" xfId="0" applyFont="1" applyBorder="1" applyAlignment="1">
      <alignment horizontal="center"/>
    </xf>
    <xf numFmtId="0" fontId="2" fillId="11" borderId="17" xfId="0" applyFont="1" applyFill="1" applyBorder="1" applyAlignment="1">
      <alignment horizontal="center"/>
    </xf>
    <xf numFmtId="0" fontId="2" fillId="11" borderId="18" xfId="0" applyFont="1" applyFill="1" applyBorder="1" applyAlignment="1">
      <alignment horizontal="center"/>
    </xf>
    <xf numFmtId="0" fontId="2" fillId="11" borderId="19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2F575"/>
      <color rgb="FFBC6C0C"/>
      <color rgb="FF8BF4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7621</xdr:colOff>
      <xdr:row>32</xdr:row>
      <xdr:rowOff>44694</xdr:rowOff>
    </xdr:from>
    <xdr:to>
      <xdr:col>6</xdr:col>
      <xdr:colOff>601981</xdr:colOff>
      <xdr:row>46</xdr:row>
      <xdr:rowOff>159090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8BC926B7-F945-1DA4-D4F5-388FECBC7A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7221" y="6303980"/>
          <a:ext cx="4752703" cy="27683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06D631-A74F-438C-8111-E3DC86662999}">
  <dimension ref="B2:T48"/>
  <sheetViews>
    <sheetView tabSelected="1" topLeftCell="A26" zoomScale="85" zoomScaleNormal="85" workbookViewId="0">
      <selection activeCell="H55" sqref="H55"/>
    </sheetView>
  </sheetViews>
  <sheetFormatPr defaultRowHeight="14.4" x14ac:dyDescent="0.3"/>
  <cols>
    <col min="2" max="2" width="21.44140625" customWidth="1"/>
    <col min="3" max="3" width="11.109375" customWidth="1"/>
    <col min="4" max="4" width="10.33203125" customWidth="1"/>
    <col min="8" max="8" width="26.33203125" customWidth="1"/>
    <col min="9" max="9" width="14.77734375" customWidth="1"/>
    <col min="10" max="10" width="12.77734375" customWidth="1"/>
    <col min="11" max="12" width="8.88671875" customWidth="1"/>
    <col min="13" max="13" width="7.6640625" customWidth="1"/>
    <col min="14" max="14" width="15.77734375" customWidth="1"/>
    <col min="15" max="15" width="8.6640625" customWidth="1"/>
    <col min="16" max="16" width="10.109375" customWidth="1"/>
    <col min="17" max="17" width="12.44140625" customWidth="1"/>
    <col min="20" max="20" width="14.88671875" customWidth="1"/>
  </cols>
  <sheetData>
    <row r="2" spans="2:18" ht="15" thickBot="1" x14ac:dyDescent="0.35"/>
    <row r="3" spans="2:18" ht="15" thickBot="1" x14ac:dyDescent="0.35">
      <c r="C3" s="3" t="s">
        <v>10</v>
      </c>
      <c r="D3" s="4" t="s">
        <v>11</v>
      </c>
      <c r="E3" s="4" t="s">
        <v>12</v>
      </c>
      <c r="F3" s="5" t="s">
        <v>13</v>
      </c>
      <c r="H3" s="9" t="s">
        <v>39</v>
      </c>
      <c r="J3" s="157" t="s">
        <v>32</v>
      </c>
      <c r="K3" s="158"/>
      <c r="L3" s="159"/>
      <c r="M3" s="27"/>
      <c r="N3" s="140" t="s">
        <v>34</v>
      </c>
      <c r="O3" s="141"/>
      <c r="P3" s="141"/>
      <c r="Q3" s="142"/>
    </row>
    <row r="4" spans="2:18" ht="15" thickBot="1" x14ac:dyDescent="0.35">
      <c r="B4" s="6" t="s">
        <v>0</v>
      </c>
      <c r="C4" s="18"/>
      <c r="D4" s="19"/>
      <c r="E4" s="19"/>
      <c r="F4" s="20"/>
      <c r="H4" s="2">
        <f>500</f>
        <v>500</v>
      </c>
      <c r="J4" s="25" t="s">
        <v>4</v>
      </c>
      <c r="K4" s="155">
        <v>244</v>
      </c>
      <c r="L4" s="156"/>
      <c r="N4" s="48" t="s">
        <v>10</v>
      </c>
      <c r="O4" s="48" t="s">
        <v>11</v>
      </c>
      <c r="P4" s="48" t="s">
        <v>12</v>
      </c>
      <c r="Q4" s="47" t="s">
        <v>13</v>
      </c>
    </row>
    <row r="5" spans="2:18" ht="15" thickBot="1" x14ac:dyDescent="0.35">
      <c r="B5" s="7" t="s">
        <v>1</v>
      </c>
      <c r="C5" s="16">
        <v>76.8</v>
      </c>
      <c r="D5" s="17">
        <v>77.5</v>
      </c>
      <c r="E5" s="17">
        <v>79.7</v>
      </c>
      <c r="F5" s="21">
        <v>80</v>
      </c>
      <c r="J5" s="25" t="s">
        <v>5</v>
      </c>
      <c r="K5" s="155">
        <v>283.24</v>
      </c>
      <c r="L5" s="156"/>
      <c r="N5" s="2">
        <f>($K$10*C14+$K$11*C15+$K$12*C16+$K$13*C17+$K$14*C18)/100</f>
        <v>14.44024222</v>
      </c>
      <c r="O5" s="2">
        <f>($K$10*D14+$K$11*D15+$K$12*D16+$K$13*D17+$K$14*D18)/100</f>
        <v>14.367617340000002</v>
      </c>
      <c r="P5" s="2">
        <f>($K$10*E14+$K$11*E15+$K$12*E16+$K$13*E17+$K$14*0)/100</f>
        <v>7.8301365399999998</v>
      </c>
      <c r="Q5" s="36">
        <f>($K$10*F14+$K$11*F15+$K$12*F16+$K$13*F17+$K$14*0)/100</f>
        <v>8.0318269999999998</v>
      </c>
    </row>
    <row r="6" spans="2:18" ht="15" thickBot="1" x14ac:dyDescent="0.35">
      <c r="B6" s="8" t="s">
        <v>2</v>
      </c>
      <c r="C6" s="13">
        <v>10.8</v>
      </c>
      <c r="D6" s="14">
        <v>9.6</v>
      </c>
      <c r="E6" s="14">
        <v>6.8</v>
      </c>
      <c r="F6" s="15">
        <v>6.7</v>
      </c>
      <c r="H6" s="10" t="s">
        <v>15</v>
      </c>
      <c r="J6" s="25" t="s">
        <v>7</v>
      </c>
      <c r="K6" s="155">
        <v>802.34</v>
      </c>
      <c r="L6" s="156"/>
    </row>
    <row r="7" spans="2:18" ht="16.2" thickBot="1" x14ac:dyDescent="0.35">
      <c r="B7" s="49" t="s">
        <v>3</v>
      </c>
      <c r="C7" s="41"/>
      <c r="D7" s="42"/>
      <c r="E7" s="42"/>
      <c r="F7" s="43"/>
      <c r="H7" s="2">
        <v>3</v>
      </c>
      <c r="J7" s="26" t="s">
        <v>8</v>
      </c>
      <c r="K7" s="133">
        <v>1437.2</v>
      </c>
      <c r="L7" s="134"/>
      <c r="N7" s="143" t="s">
        <v>44</v>
      </c>
      <c r="O7" s="144"/>
      <c r="P7" s="144"/>
      <c r="Q7" s="145"/>
    </row>
    <row r="8" spans="2:18" ht="15" thickBot="1" x14ac:dyDescent="0.35">
      <c r="B8" s="28" t="s">
        <v>4</v>
      </c>
      <c r="C8" s="42">
        <v>7.2</v>
      </c>
      <c r="D8" s="42">
        <v>7.4</v>
      </c>
      <c r="E8" s="42">
        <v>19.399999999999999</v>
      </c>
      <c r="F8" s="43">
        <v>18.8</v>
      </c>
      <c r="N8" s="65" t="s">
        <v>10</v>
      </c>
      <c r="O8" s="39" t="s">
        <v>11</v>
      </c>
      <c r="P8" s="39" t="s">
        <v>12</v>
      </c>
      <c r="Q8" s="66" t="s">
        <v>13</v>
      </c>
    </row>
    <row r="9" spans="2:18" ht="15" thickBot="1" x14ac:dyDescent="0.35">
      <c r="B9" s="29" t="s">
        <v>5</v>
      </c>
      <c r="C9" s="1">
        <v>58.2</v>
      </c>
      <c r="D9" s="50">
        <v>56</v>
      </c>
      <c r="E9" s="1">
        <v>69.400000000000006</v>
      </c>
      <c r="F9" s="34">
        <v>71.599999999999994</v>
      </c>
      <c r="H9" s="11" t="s">
        <v>16</v>
      </c>
      <c r="J9" s="116" t="s">
        <v>33</v>
      </c>
      <c r="K9" s="152"/>
      <c r="L9" s="117"/>
      <c r="N9" s="70">
        <f>($K$4/$K$10*C8/100)+($K$5/$K$11*C9/100)+($K$6/$K$13*C11/100)+($K$7/$K$14*C12/100)</f>
        <v>23.299449346597726</v>
      </c>
      <c r="O9" s="71">
        <f>($K$4/$K$10*D8/100)+($K$5/$K$11*D9/100)+($K$6/$K$13*D11/100)+($K$7/$K$14*D12/100)</f>
        <v>22.276400299222033</v>
      </c>
      <c r="P9" s="72">
        <f>($K$4/$K$10*E8/100)+($K$5/$K$11*E9/100)+($K$6/$K$13*E11/100)+($K$7/$K$14*0)</f>
        <v>35.900778150022049</v>
      </c>
      <c r="Q9" s="73">
        <f>($K$4/$K$10*F8/100)+($K$5/$K$11*F9/100)+($K$6/$K$13*F11/100)+($K$7/$K$14*0)</f>
        <v>34.296715071621882</v>
      </c>
    </row>
    <row r="10" spans="2:18" ht="15" thickBot="1" x14ac:dyDescent="0.35">
      <c r="B10" s="29" t="s">
        <v>6</v>
      </c>
      <c r="C10" s="1">
        <v>16.899999999999999</v>
      </c>
      <c r="D10" s="1">
        <v>21.1</v>
      </c>
      <c r="E10" s="1">
        <v>0.4</v>
      </c>
      <c r="F10" s="51">
        <v>1</v>
      </c>
      <c r="H10" s="2">
        <v>30</v>
      </c>
      <c r="J10" s="31" t="s">
        <v>4</v>
      </c>
      <c r="K10" s="153">
        <v>2.0158800000000001</v>
      </c>
      <c r="L10" s="154"/>
    </row>
    <row r="11" spans="2:18" ht="16.2" thickBot="1" x14ac:dyDescent="0.35">
      <c r="B11" s="29" t="s">
        <v>7</v>
      </c>
      <c r="C11" s="1">
        <v>10.8</v>
      </c>
      <c r="D11" s="1">
        <v>11.2</v>
      </c>
      <c r="E11" s="1">
        <v>10.8</v>
      </c>
      <c r="F11" s="34">
        <v>8.6</v>
      </c>
      <c r="J11" s="32" t="s">
        <v>5</v>
      </c>
      <c r="K11" s="155">
        <v>28.010100000000001</v>
      </c>
      <c r="L11" s="156"/>
      <c r="N11" s="146" t="s">
        <v>45</v>
      </c>
      <c r="O11" s="147"/>
      <c r="P11" s="147"/>
      <c r="Q11" s="148"/>
    </row>
    <row r="12" spans="2:18" ht="15" thickBot="1" x14ac:dyDescent="0.35">
      <c r="B12" s="30" t="s">
        <v>18</v>
      </c>
      <c r="C12" s="35">
        <v>6.9</v>
      </c>
      <c r="D12" s="35">
        <v>4.3</v>
      </c>
      <c r="E12" s="35" t="s">
        <v>14</v>
      </c>
      <c r="F12" s="36" t="s">
        <v>14</v>
      </c>
      <c r="H12" s="12" t="s">
        <v>17</v>
      </c>
      <c r="J12" s="32" t="s">
        <v>6</v>
      </c>
      <c r="K12" s="155">
        <v>44.009500000000003</v>
      </c>
      <c r="L12" s="156"/>
      <c r="N12" s="60" t="s">
        <v>10</v>
      </c>
      <c r="O12" s="61" t="s">
        <v>11</v>
      </c>
      <c r="P12" s="61" t="s">
        <v>12</v>
      </c>
      <c r="Q12" s="62" t="s">
        <v>13</v>
      </c>
    </row>
    <row r="13" spans="2:18" ht="15" thickBot="1" x14ac:dyDescent="0.35">
      <c r="B13" s="52" t="s">
        <v>9</v>
      </c>
      <c r="C13" s="24"/>
      <c r="D13" s="1"/>
      <c r="E13" s="1"/>
      <c r="F13" s="34"/>
      <c r="H13" s="2">
        <v>1</v>
      </c>
      <c r="J13" s="32" t="s">
        <v>7</v>
      </c>
      <c r="K13" s="155">
        <v>16.0425</v>
      </c>
      <c r="L13" s="156"/>
      <c r="N13" s="67">
        <f>(N9*N5/22.414)</f>
        <v>15.010693859083245</v>
      </c>
      <c r="O13" s="68">
        <f t="shared" ref="O13:Q13" si="0">(O9*O5/22.414)</f>
        <v>14.279414437935383</v>
      </c>
      <c r="P13" s="68">
        <f t="shared" si="0"/>
        <v>12.541625537919211</v>
      </c>
      <c r="Q13" s="69">
        <f t="shared" si="0"/>
        <v>12.289876065118209</v>
      </c>
    </row>
    <row r="14" spans="2:18" ht="15" thickBot="1" x14ac:dyDescent="0.35">
      <c r="B14" s="53" t="s">
        <v>4</v>
      </c>
      <c r="C14" s="42">
        <v>51.4</v>
      </c>
      <c r="D14" s="42">
        <v>52.3</v>
      </c>
      <c r="E14" s="42">
        <v>75.3</v>
      </c>
      <c r="F14" s="54">
        <v>75</v>
      </c>
      <c r="J14" s="33" t="s">
        <v>18</v>
      </c>
      <c r="K14" s="133">
        <v>30.068999999999999</v>
      </c>
      <c r="L14" s="134"/>
    </row>
    <row r="15" spans="2:18" ht="15" thickBot="1" x14ac:dyDescent="0.35">
      <c r="B15" s="55" t="s">
        <v>5</v>
      </c>
      <c r="C15" s="1">
        <v>29.9</v>
      </c>
      <c r="D15" s="1">
        <v>28.6</v>
      </c>
      <c r="E15" s="1">
        <v>19.399999999999999</v>
      </c>
      <c r="F15" s="34">
        <v>20.5</v>
      </c>
      <c r="H15" s="74" t="s">
        <v>38</v>
      </c>
    </row>
    <row r="16" spans="2:18" ht="15" thickBot="1" x14ac:dyDescent="0.35">
      <c r="B16" s="55" t="s">
        <v>6</v>
      </c>
      <c r="C16" s="1">
        <v>5.5</v>
      </c>
      <c r="D16" s="1">
        <v>6.9</v>
      </c>
      <c r="E16" s="1">
        <v>0.1</v>
      </c>
      <c r="F16" s="34">
        <v>0.2</v>
      </c>
      <c r="H16" s="2">
        <v>34.5</v>
      </c>
      <c r="I16" s="40"/>
      <c r="J16" s="40"/>
      <c r="K16" s="40"/>
      <c r="L16" s="40"/>
      <c r="M16" s="40"/>
      <c r="N16" s="116" t="s">
        <v>35</v>
      </c>
      <c r="O16" s="152"/>
      <c r="P16" s="152"/>
      <c r="Q16" s="152"/>
      <c r="R16" s="117"/>
    </row>
    <row r="17" spans="2:20" ht="15" thickBot="1" x14ac:dyDescent="0.35">
      <c r="B17" s="55" t="s">
        <v>7</v>
      </c>
      <c r="C17" s="1">
        <v>9.6999999999999993</v>
      </c>
      <c r="D17" s="50">
        <v>10</v>
      </c>
      <c r="E17" s="1">
        <v>5.2</v>
      </c>
      <c r="F17" s="34">
        <v>4.3</v>
      </c>
      <c r="J17" s="38"/>
      <c r="K17" s="37"/>
      <c r="L17" s="37"/>
      <c r="N17" s="149" t="s">
        <v>36</v>
      </c>
      <c r="O17" s="150"/>
      <c r="P17" s="150"/>
      <c r="Q17" s="150"/>
      <c r="R17" s="151"/>
    </row>
    <row r="18" spans="2:20" ht="15" thickBot="1" x14ac:dyDescent="0.35">
      <c r="B18" s="56" t="s">
        <v>8</v>
      </c>
      <c r="C18" s="35">
        <v>3.5</v>
      </c>
      <c r="D18" s="35">
        <v>2.2000000000000002</v>
      </c>
      <c r="E18" s="35" t="s">
        <v>14</v>
      </c>
      <c r="F18" s="36" t="s">
        <v>14</v>
      </c>
      <c r="J18" s="38"/>
      <c r="K18" s="37"/>
      <c r="L18" s="37"/>
      <c r="N18" s="65" t="s">
        <v>31</v>
      </c>
      <c r="O18" s="39" t="s">
        <v>10</v>
      </c>
      <c r="P18" s="39" t="s">
        <v>11</v>
      </c>
      <c r="Q18" s="39" t="s">
        <v>12</v>
      </c>
      <c r="R18" s="66" t="s">
        <v>13</v>
      </c>
    </row>
    <row r="19" spans="2:20" ht="15" thickBot="1" x14ac:dyDescent="0.35">
      <c r="N19" s="85">
        <f>(33.5*C27+142.3*C28-15.4*C31-14.5*C29)/100</f>
        <v>31.044</v>
      </c>
      <c r="O19" s="89">
        <f>(33.5*D27+142.3*0-15.4*D31-14.5*D29)/100</f>
        <v>31.330099999999998</v>
      </c>
      <c r="P19" s="89">
        <f>(33.5*E27+142.3*0-15.4*E31-14.5*E29)/100</f>
        <v>31.380800000000001</v>
      </c>
      <c r="Q19" s="89">
        <f>(33.5*F27+142.3*0-15.4*F31-14.5*F29)/100</f>
        <v>31.625300000000003</v>
      </c>
      <c r="R19" s="90">
        <f>(33.5*G27+142.3*0-15.4*G31-14.5*G29)/100</f>
        <v>31.688700000000004</v>
      </c>
    </row>
    <row r="20" spans="2:20" ht="15" thickBot="1" x14ac:dyDescent="0.35">
      <c r="B20" s="1"/>
      <c r="C20" s="60" t="s">
        <v>31</v>
      </c>
      <c r="D20" s="61" t="s">
        <v>10</v>
      </c>
      <c r="E20" s="61" t="s">
        <v>11</v>
      </c>
      <c r="F20" s="61" t="s">
        <v>12</v>
      </c>
      <c r="G20" s="62" t="s">
        <v>13</v>
      </c>
      <c r="I20" s="116" t="s">
        <v>42</v>
      </c>
      <c r="J20" s="117"/>
    </row>
    <row r="21" spans="2:20" ht="15" thickBot="1" x14ac:dyDescent="0.35">
      <c r="B21" s="63" t="s">
        <v>19</v>
      </c>
      <c r="C21" s="22"/>
      <c r="D21" s="22"/>
      <c r="E21" s="22"/>
      <c r="F21" s="22"/>
      <c r="G21" s="23"/>
      <c r="I21" s="118">
        <v>100</v>
      </c>
      <c r="J21" s="119"/>
      <c r="N21" s="126" t="s">
        <v>37</v>
      </c>
      <c r="O21" s="127"/>
      <c r="P21" s="127"/>
      <c r="Q21" s="127"/>
      <c r="R21" s="128"/>
    </row>
    <row r="22" spans="2:20" ht="15" thickBot="1" x14ac:dyDescent="0.35">
      <c r="B22" s="57" t="s">
        <v>20</v>
      </c>
      <c r="C22" s="1">
        <v>0.3</v>
      </c>
      <c r="D22" s="1">
        <v>0.4</v>
      </c>
      <c r="E22" s="1">
        <v>0.4</v>
      </c>
      <c r="F22" s="1">
        <v>0.1</v>
      </c>
      <c r="G22" s="34">
        <v>0.3</v>
      </c>
      <c r="N22" s="129" t="s">
        <v>36</v>
      </c>
      <c r="O22" s="130"/>
      <c r="P22" s="130"/>
      <c r="Q22" s="130"/>
      <c r="R22" s="131"/>
    </row>
    <row r="23" spans="2:20" x14ac:dyDescent="0.3">
      <c r="B23" s="57" t="s">
        <v>21</v>
      </c>
      <c r="C23" s="1">
        <v>29.7</v>
      </c>
      <c r="D23" s="1">
        <v>6</v>
      </c>
      <c r="E23" s="1">
        <v>5.9</v>
      </c>
      <c r="F23" s="1">
        <v>6.4</v>
      </c>
      <c r="G23" s="34">
        <v>6.6</v>
      </c>
      <c r="N23" s="60" t="s">
        <v>31</v>
      </c>
      <c r="O23" s="61" t="s">
        <v>10</v>
      </c>
      <c r="P23" s="61" t="s">
        <v>11</v>
      </c>
      <c r="Q23" s="61" t="s">
        <v>12</v>
      </c>
      <c r="R23" s="62" t="s">
        <v>13</v>
      </c>
    </row>
    <row r="24" spans="2:20" ht="15" thickBot="1" x14ac:dyDescent="0.35">
      <c r="B24" s="57" t="s">
        <v>22</v>
      </c>
      <c r="C24" s="1">
        <v>69.400000000000006</v>
      </c>
      <c r="D24" s="1">
        <v>93.3</v>
      </c>
      <c r="E24" s="1">
        <v>93.4</v>
      </c>
      <c r="F24" s="1">
        <v>92.9</v>
      </c>
      <c r="G24" s="34">
        <v>92.8</v>
      </c>
      <c r="N24" s="85">
        <f>N19*(1-0)-2.447*(0+C28*9.01*(1-0))/100</f>
        <v>30.44871831</v>
      </c>
      <c r="O24" s="89">
        <f>O19*(1-0)-2.447*(0+0*9.01*(1-0))/100</f>
        <v>31.330099999999998</v>
      </c>
      <c r="P24" s="89">
        <f t="shared" ref="P24:Q24" si="1">P19*(1-0)-2.447*(0+0*9.01*(1-0))/100</f>
        <v>31.380800000000001</v>
      </c>
      <c r="Q24" s="89">
        <f t="shared" si="1"/>
        <v>31.625300000000003</v>
      </c>
      <c r="R24" s="90">
        <f>R19*(1-0)-2.447*(0+G28*9.01*(1-0))/100</f>
        <v>31.666652530000004</v>
      </c>
    </row>
    <row r="25" spans="2:20" ht="15" thickBot="1" x14ac:dyDescent="0.35">
      <c r="B25" s="57" t="s">
        <v>23</v>
      </c>
      <c r="C25" s="1">
        <v>0.6</v>
      </c>
      <c r="D25" s="1">
        <v>0.3</v>
      </c>
      <c r="E25" s="1">
        <v>0.3</v>
      </c>
      <c r="F25" s="1">
        <v>0.6</v>
      </c>
      <c r="G25" s="34">
        <v>0.3</v>
      </c>
    </row>
    <row r="26" spans="2:20" ht="15" thickBot="1" x14ac:dyDescent="0.35">
      <c r="B26" s="64" t="s">
        <v>24</v>
      </c>
      <c r="C26" s="22"/>
      <c r="D26" s="22"/>
      <c r="E26" s="22"/>
      <c r="F26" s="22"/>
      <c r="G26" s="23"/>
    </row>
    <row r="27" spans="2:20" ht="15" thickBot="1" x14ac:dyDescent="0.35">
      <c r="B27" s="58" t="s">
        <v>25</v>
      </c>
      <c r="C27" s="1">
        <v>85.4</v>
      </c>
      <c r="D27" s="1">
        <v>95.5</v>
      </c>
      <c r="E27" s="1">
        <v>95.6</v>
      </c>
      <c r="F27" s="1">
        <v>96.1</v>
      </c>
      <c r="G27" s="34">
        <v>96.2</v>
      </c>
      <c r="K27" s="120" t="s">
        <v>43</v>
      </c>
      <c r="L27" s="121"/>
      <c r="M27" s="121"/>
      <c r="N27" s="122"/>
      <c r="P27" s="126" t="s">
        <v>52</v>
      </c>
      <c r="Q27" s="127"/>
      <c r="R27" s="128"/>
    </row>
    <row r="28" spans="2:20" ht="15" thickBot="1" x14ac:dyDescent="0.35">
      <c r="B28" s="58" t="s">
        <v>26</v>
      </c>
      <c r="C28" s="1">
        <v>2.7</v>
      </c>
      <c r="D28" s="1" t="s">
        <v>30</v>
      </c>
      <c r="E28" s="1" t="s">
        <v>30</v>
      </c>
      <c r="F28" s="1" t="s">
        <v>30</v>
      </c>
      <c r="G28" s="34">
        <v>0.1</v>
      </c>
      <c r="K28" s="82" t="s">
        <v>10</v>
      </c>
      <c r="L28" s="83" t="s">
        <v>11</v>
      </c>
      <c r="M28" s="83" t="s">
        <v>12</v>
      </c>
      <c r="N28" s="84" t="s">
        <v>13</v>
      </c>
      <c r="P28" s="132">
        <f>0.7</f>
        <v>0.7</v>
      </c>
      <c r="Q28" s="133"/>
      <c r="R28" s="134"/>
    </row>
    <row r="29" spans="2:20" ht="15" thickBot="1" x14ac:dyDescent="0.35">
      <c r="B29" s="58" t="s">
        <v>27</v>
      </c>
      <c r="C29" s="1">
        <v>4.5</v>
      </c>
      <c r="D29" s="1">
        <v>3.4</v>
      </c>
      <c r="E29" s="1">
        <v>3.6</v>
      </c>
      <c r="F29" s="1">
        <v>3.6</v>
      </c>
      <c r="G29" s="34">
        <v>3.5</v>
      </c>
      <c r="K29" s="75">
        <f>$I$21*C6/100</f>
        <v>10.8</v>
      </c>
      <c r="L29" s="35">
        <f t="shared" ref="L29:N29" si="2">$I$21*D6/100</f>
        <v>9.6</v>
      </c>
      <c r="M29" s="35">
        <f t="shared" si="2"/>
        <v>6.8</v>
      </c>
      <c r="N29" s="36">
        <f t="shared" si="2"/>
        <v>6.7</v>
      </c>
    </row>
    <row r="30" spans="2:20" ht="15" thickBot="1" x14ac:dyDescent="0.35">
      <c r="B30" s="58" t="s">
        <v>28</v>
      </c>
      <c r="C30" s="1">
        <v>1.6</v>
      </c>
      <c r="D30" s="1" t="s">
        <v>30</v>
      </c>
      <c r="E30" s="1" t="s">
        <v>30</v>
      </c>
      <c r="F30" s="1" t="s">
        <v>30</v>
      </c>
      <c r="G30" s="34" t="s">
        <v>30</v>
      </c>
    </row>
    <row r="31" spans="2:20" ht="15" thickBot="1" x14ac:dyDescent="0.35">
      <c r="B31" s="59" t="s">
        <v>29</v>
      </c>
      <c r="C31" s="35">
        <v>4.9000000000000004</v>
      </c>
      <c r="D31" s="35">
        <v>1.1000000000000001</v>
      </c>
      <c r="E31" s="35">
        <v>0.8</v>
      </c>
      <c r="F31" s="35">
        <v>0.3</v>
      </c>
      <c r="G31" s="36">
        <v>0.2</v>
      </c>
      <c r="K31" s="123" t="s">
        <v>55</v>
      </c>
      <c r="L31" s="124"/>
      <c r="M31" s="124"/>
      <c r="N31" s="125"/>
      <c r="Q31" s="135" t="s">
        <v>53</v>
      </c>
      <c r="R31" s="136"/>
      <c r="S31" s="136"/>
      <c r="T31" s="137"/>
    </row>
    <row r="32" spans="2:20" ht="15" thickBot="1" x14ac:dyDescent="0.35">
      <c r="K32" s="86" t="s">
        <v>10</v>
      </c>
      <c r="L32" s="87" t="s">
        <v>11</v>
      </c>
      <c r="M32" s="87" t="s">
        <v>12</v>
      </c>
      <c r="N32" s="88" t="s">
        <v>13</v>
      </c>
      <c r="P32" s="95"/>
      <c r="Q32" s="132">
        <f>P28+L42+K36</f>
        <v>115.19363167085407</v>
      </c>
      <c r="R32" s="138"/>
      <c r="S32" s="138"/>
      <c r="T32" s="139"/>
    </row>
    <row r="33" spans="2:15" ht="15" thickBot="1" x14ac:dyDescent="0.35">
      <c r="B33" s="76"/>
      <c r="C33" s="77"/>
      <c r="D33" s="77"/>
      <c r="E33" s="77"/>
      <c r="F33" s="77"/>
      <c r="G33" s="78"/>
      <c r="K33" s="85">
        <f>(N9*K29/1000)/0.1</f>
        <v>2.5163405294325547</v>
      </c>
      <c r="L33" s="89">
        <f t="shared" ref="L33:N33" si="3">(O9*L29/1000)/0.1</f>
        <v>2.1385344287253147</v>
      </c>
      <c r="M33" s="89">
        <f t="shared" si="3"/>
        <v>2.4412529142014989</v>
      </c>
      <c r="N33" s="90">
        <f t="shared" si="3"/>
        <v>2.2978799097986657</v>
      </c>
    </row>
    <row r="34" spans="2:15" ht="15" thickBot="1" x14ac:dyDescent="0.35">
      <c r="B34" s="27"/>
      <c r="G34" s="79"/>
    </row>
    <row r="35" spans="2:15" x14ac:dyDescent="0.3">
      <c r="B35" s="27"/>
      <c r="G35" s="79"/>
      <c r="H35" s="80" t="s">
        <v>41</v>
      </c>
      <c r="K35" s="126" t="s">
        <v>54</v>
      </c>
      <c r="L35" s="127"/>
      <c r="M35" s="127"/>
      <c r="N35" s="128"/>
    </row>
    <row r="36" spans="2:15" ht="15" thickBot="1" x14ac:dyDescent="0.35">
      <c r="B36" s="27"/>
      <c r="G36" s="79"/>
      <c r="H36" s="81">
        <f>5.1327*(10^-7)*(H4+273.15)^3-2.0761*(10^-3)*(H4+273.15)^2+2.599*(H4+273.15)+662.53</f>
        <v>1668.1476754486414</v>
      </c>
      <c r="K36" s="99">
        <f>(I21/1000*H36*(H4-H16))/1000000/0.1</f>
        <v>0.77652274292134249</v>
      </c>
      <c r="L36" s="100"/>
      <c r="M36" s="100"/>
      <c r="N36" s="101"/>
    </row>
    <row r="37" spans="2:15" x14ac:dyDescent="0.3">
      <c r="B37" s="27"/>
      <c r="G37" s="79"/>
    </row>
    <row r="38" spans="2:15" ht="15" thickBot="1" x14ac:dyDescent="0.35">
      <c r="B38" s="27"/>
      <c r="G38" s="79"/>
    </row>
    <row r="39" spans="2:15" x14ac:dyDescent="0.3">
      <c r="B39" s="27"/>
      <c r="G39" s="79"/>
      <c r="I39" s="102" t="s">
        <v>46</v>
      </c>
      <c r="J39" s="103"/>
      <c r="L39" s="104" t="s">
        <v>50</v>
      </c>
      <c r="M39" s="105"/>
      <c r="N39" s="105"/>
      <c r="O39" s="106"/>
    </row>
    <row r="40" spans="2:15" ht="15" thickBot="1" x14ac:dyDescent="0.35">
      <c r="B40" s="27"/>
      <c r="G40" s="79"/>
      <c r="I40" s="91" t="s">
        <v>47</v>
      </c>
      <c r="J40" s="34">
        <v>0.216</v>
      </c>
      <c r="L40" s="107">
        <v>40</v>
      </c>
      <c r="M40" s="108"/>
      <c r="N40" s="108"/>
      <c r="O40" s="109"/>
    </row>
    <row r="41" spans="2:15" ht="15" thickBot="1" x14ac:dyDescent="0.35">
      <c r="B41" s="27"/>
      <c r="G41" s="79"/>
      <c r="I41" s="92" t="s">
        <v>48</v>
      </c>
      <c r="J41" s="36">
        <v>1</v>
      </c>
      <c r="L41" s="113" t="s">
        <v>51</v>
      </c>
      <c r="M41" s="114"/>
      <c r="N41" s="114"/>
      <c r="O41" s="115"/>
    </row>
    <row r="42" spans="2:15" ht="15" thickBot="1" x14ac:dyDescent="0.35">
      <c r="B42" s="27"/>
      <c r="G42" s="79"/>
      <c r="I42" s="93" t="s">
        <v>49</v>
      </c>
      <c r="J42" s="94">
        <f>PI()*J40/2*J41</f>
        <v>0.33929200658769765</v>
      </c>
      <c r="L42" s="110">
        <f>((L40*J42*(H4-H16))*(30*60))/(I21/1000)/(10^6)</f>
        <v>113.71710892793273</v>
      </c>
      <c r="M42" s="111"/>
      <c r="N42" s="111"/>
      <c r="O42" s="112"/>
    </row>
    <row r="43" spans="2:15" x14ac:dyDescent="0.3">
      <c r="B43" s="27"/>
      <c r="G43" s="79"/>
    </row>
    <row r="44" spans="2:15" x14ac:dyDescent="0.3">
      <c r="B44" s="27"/>
      <c r="G44" s="79"/>
    </row>
    <row r="45" spans="2:15" x14ac:dyDescent="0.3">
      <c r="B45" s="27"/>
      <c r="G45" s="79"/>
    </row>
    <row r="46" spans="2:15" x14ac:dyDescent="0.3">
      <c r="B46" s="27"/>
      <c r="G46" s="79"/>
    </row>
    <row r="47" spans="2:15" ht="15" thickBot="1" x14ac:dyDescent="0.35">
      <c r="B47" s="44"/>
      <c r="C47" s="45"/>
      <c r="D47" s="45"/>
      <c r="E47" s="45"/>
      <c r="F47" s="45"/>
      <c r="G47" s="46"/>
    </row>
    <row r="48" spans="2:15" ht="15" thickBot="1" x14ac:dyDescent="0.35">
      <c r="B48" s="96" t="s">
        <v>40</v>
      </c>
      <c r="C48" s="97"/>
      <c r="D48" s="97"/>
      <c r="E48" s="97"/>
      <c r="F48" s="97"/>
      <c r="G48" s="98"/>
    </row>
  </sheetData>
  <mergeCells count="34">
    <mergeCell ref="N3:Q3"/>
    <mergeCell ref="N7:Q7"/>
    <mergeCell ref="N11:Q11"/>
    <mergeCell ref="N17:R17"/>
    <mergeCell ref="K14:L14"/>
    <mergeCell ref="J9:L9"/>
    <mergeCell ref="K10:L10"/>
    <mergeCell ref="K11:L11"/>
    <mergeCell ref="K12:L12"/>
    <mergeCell ref="K13:L13"/>
    <mergeCell ref="J3:L3"/>
    <mergeCell ref="K4:L4"/>
    <mergeCell ref="K5:L5"/>
    <mergeCell ref="K6:L6"/>
    <mergeCell ref="K7:L7"/>
    <mergeCell ref="N16:R16"/>
    <mergeCell ref="I20:J20"/>
    <mergeCell ref="I21:J21"/>
    <mergeCell ref="K27:N27"/>
    <mergeCell ref="K31:N31"/>
    <mergeCell ref="K35:N35"/>
    <mergeCell ref="N21:R21"/>
    <mergeCell ref="N22:R22"/>
    <mergeCell ref="P27:R27"/>
    <mergeCell ref="P28:R28"/>
    <mergeCell ref="Q31:T31"/>
    <mergeCell ref="Q32:T32"/>
    <mergeCell ref="B48:G48"/>
    <mergeCell ref="K36:N36"/>
    <mergeCell ref="I39:J39"/>
    <mergeCell ref="L39:O39"/>
    <mergeCell ref="L40:O40"/>
    <mergeCell ref="L42:O42"/>
    <mergeCell ref="L41:O41"/>
  </mergeCells>
  <phoneticPr fontId="6" type="noConversion"/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Giovanni Vaccaro</dc:creator>
  <cp:lastModifiedBy>Giovanni Vaccaro</cp:lastModifiedBy>
  <dcterms:created xsi:type="dcterms:W3CDTF">2022-08-27T10:06:07Z</dcterms:created>
  <dcterms:modified xsi:type="dcterms:W3CDTF">2022-09-30T19:17:46Z</dcterms:modified>
</cp:coreProperties>
</file>